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730" windowHeight="11760" activeTab="2"/>
  </bookViews>
  <sheets>
    <sheet name="CONDUCTOR" sheetId="1" r:id="rId1"/>
    <sheet name="ESTRUCTURAS" sheetId="2" r:id="rId2"/>
    <sheet name="MATERIALES" sheetId="3" r:id="rId3"/>
  </sheets>
  <definedNames>
    <definedName name="_xlnm.Print_Area" localSheetId="2">'MATERIALES'!$B$3:$I$37</definedName>
  </definedNames>
  <calcPr calcId="152511"/>
</workbook>
</file>

<file path=xl/sharedStrings.xml><?xml version="1.0" encoding="utf-8"?>
<sst xmlns="http://schemas.openxmlformats.org/spreadsheetml/2006/main" count="250" uniqueCount="124">
  <si>
    <t>De</t>
  </si>
  <si>
    <t>Hasta</t>
  </si>
  <si>
    <t>Distancia (mts)</t>
  </si>
  <si>
    <t>POSTE</t>
  </si>
  <si>
    <t>Estructura MT</t>
  </si>
  <si>
    <t>Estructura BT</t>
  </si>
  <si>
    <t>TENSOR</t>
  </si>
  <si>
    <t>Seccionador</t>
  </si>
  <si>
    <t>Trafo</t>
  </si>
  <si>
    <t>Luminaria</t>
  </si>
  <si>
    <t>Acometida</t>
  </si>
  <si>
    <t>P1</t>
  </si>
  <si>
    <t>P2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</si>
  <si>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</si>
  <si>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</si>
  <si>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</si>
  <si>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</si>
  <si>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</si>
  <si>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</si>
  <si>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</si>
  <si>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</si>
  <si>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</si>
  <si>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</si>
  <si>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Conductor ACSR 2</t>
  </si>
  <si>
    <t>Subtotal</t>
  </si>
  <si>
    <t>Conductor Preensamblado 2x50(50)</t>
  </si>
  <si>
    <t>Multiplex 3x6</t>
  </si>
  <si>
    <t># Acometidas</t>
  </si>
  <si>
    <t>Distancia promedio de acometida</t>
  </si>
  <si>
    <t>Conductor Concentrico de Cobre 2x4(4)</t>
  </si>
  <si>
    <t>TIPO</t>
  </si>
  <si>
    <t>FV</t>
  </si>
  <si>
    <t>ALTURA</t>
  </si>
  <si>
    <t>ITEM</t>
  </si>
  <si>
    <t>12m</t>
  </si>
  <si>
    <t>KGF</t>
  </si>
  <si>
    <t>1EP+1ER</t>
  </si>
  <si>
    <t>1EP</t>
  </si>
  <si>
    <t>2(110W)</t>
  </si>
  <si>
    <t>1ER</t>
  </si>
  <si>
    <t>Desperdicio 1,5%</t>
  </si>
  <si>
    <t>TOTAL</t>
  </si>
  <si>
    <t>10m</t>
  </si>
  <si>
    <t>Conteo de estructuras</t>
  </si>
  <si>
    <t>Descripción</t>
  </si>
  <si>
    <t>Postes 12m FV 500 kgf</t>
  </si>
  <si>
    <t>Postes 10m FV 400 kgf</t>
  </si>
  <si>
    <t>Suma 1</t>
  </si>
  <si>
    <t>Suma 2</t>
  </si>
  <si>
    <t>Conductor TTU # 1/0</t>
  </si>
  <si>
    <t>Conductor TTU # 3/0</t>
  </si>
  <si>
    <t>Item</t>
  </si>
  <si>
    <t>Mano de Obra</t>
  </si>
  <si>
    <t>Suministro y tendido de conductor ACSR, 2AWG</t>
  </si>
  <si>
    <t>Cantidad</t>
  </si>
  <si>
    <t>mts</t>
  </si>
  <si>
    <t>Unidad</t>
  </si>
  <si>
    <t>P. U Materiales</t>
  </si>
  <si>
    <t>Subtotal Mat</t>
  </si>
  <si>
    <t xml:space="preserve">Sub M.O </t>
  </si>
  <si>
    <t>Suministro y tendido de cable preensamblado 2x50+1x50 mm2</t>
  </si>
  <si>
    <t>Suministro y montaje de poste de fibra de vidrio de 12 metros, 500 kgf</t>
  </si>
  <si>
    <t>Suministro y montaje de poste de fibra de vidrio de 10 metros, 400 kgf</t>
  </si>
  <si>
    <t>U</t>
  </si>
  <si>
    <t>Suministro y montaje de Estructura ESE-1EP 240V</t>
  </si>
  <si>
    <t>Suministro y montaje de Estructura ESE-1ER 240V</t>
  </si>
  <si>
    <t>Seccionadores</t>
  </si>
  <si>
    <t>Suministro y montaje de puesta a tierra mediante electrodo activo químico</t>
  </si>
  <si>
    <t>Excavación de suelo para montaje de poste o tensor - terreno rocoso</t>
  </si>
  <si>
    <t>Excavación de suelo para montaje de puesta a tierra - terreno rocoso</t>
  </si>
  <si>
    <t>Subtotal M.O</t>
  </si>
  <si>
    <t>Sub 1+2</t>
  </si>
  <si>
    <t>IVA 12%</t>
  </si>
  <si>
    <t>PROYECTO PEDREGAL V</t>
  </si>
  <si>
    <t>1CRT</t>
  </si>
  <si>
    <t>TAT-0TS</t>
  </si>
  <si>
    <t>1 secc</t>
  </si>
  <si>
    <t>TAD-0TS</t>
  </si>
  <si>
    <t>1PR3e+1ER</t>
  </si>
  <si>
    <t>P3</t>
  </si>
  <si>
    <t>P4</t>
  </si>
  <si>
    <t>P5</t>
  </si>
  <si>
    <t>Trafo monofásico 25 kVA</t>
  </si>
  <si>
    <t>Suministro y montaje de Estructura EST-1CR 15kV</t>
  </si>
  <si>
    <t>Suministro, montaje e instalación transformador monofásico  autoprotegidol 1F, 25 kVA</t>
  </si>
  <si>
    <t>Suministro, montaje e instalacion de acometida bifásica en bajo voltaje 240-120V directa</t>
  </si>
  <si>
    <t>PRESUPUESTO EL PEDREGAL V</t>
  </si>
  <si>
    <t>1CRT+1CPT</t>
  </si>
  <si>
    <t>1CPT</t>
  </si>
  <si>
    <t>1ED</t>
  </si>
  <si>
    <t>TAT-0PD</t>
  </si>
  <si>
    <t>TAD-0TS+TAT-0TD</t>
  </si>
  <si>
    <t>TAD-0FS</t>
  </si>
  <si>
    <t>TAT-0TD</t>
  </si>
  <si>
    <t>25 KVA</t>
  </si>
  <si>
    <t>Suministro y montaje de Estructura ESE-1ED 240V</t>
  </si>
  <si>
    <t>Suministro y montaje  tensor a tierra doble 13,8 kV</t>
  </si>
  <si>
    <t>Suministro y montaje  tensor poste doble 13,8 kV</t>
  </si>
  <si>
    <t>Medidor</t>
  </si>
  <si>
    <t>medidor</t>
  </si>
  <si>
    <t>Acometidas</t>
  </si>
  <si>
    <t>Abrazadera para acometida</t>
  </si>
  <si>
    <t>Abrazadera</t>
  </si>
  <si>
    <t>Desmontaje y desalojo de red baja tensión (incluye: conductor, herrajes, aisladores y luminaria)</t>
  </si>
  <si>
    <t>barrio nuevo</t>
  </si>
  <si>
    <t>Pedregal V</t>
  </si>
  <si>
    <t>Mano d eobra *1.5</t>
  </si>
  <si>
    <t>Suministro y montaje  de abrazadera para acometida en bajo voltaje 240-120V(Maximo 6 Acometidas)</t>
  </si>
  <si>
    <t xml:space="preserve">Desmontaje y Montaje de  luminaria </t>
  </si>
  <si>
    <t>-</t>
  </si>
  <si>
    <t>11m</t>
  </si>
  <si>
    <t>9m</t>
  </si>
  <si>
    <t>110W</t>
  </si>
  <si>
    <t>3(1EP)+1ER</t>
  </si>
  <si>
    <t>Suministro, montaje e instalación de luminaria autocontrolada tipo LED de 110W</t>
  </si>
  <si>
    <t>Suministro y montaje de Estructura EST-1CP 15kV</t>
  </si>
  <si>
    <t>Reubicacion  de poste de fibra de vidrio de 9 metros, hasta 400 kgf</t>
  </si>
  <si>
    <t>Reubicacion  de poste de fibra de vidrio de 11 metros, hasta 500 kgf</t>
  </si>
  <si>
    <t>Anexo # 2</t>
  </si>
  <si>
    <t>Suministro y montaje  tensor a tierra simple 240 V</t>
  </si>
  <si>
    <t>Suministro y montaje  tensor a farol simple  240V</t>
  </si>
  <si>
    <t>Suministro, montaje e instalación de seccionamiento con fusible para una fase (Incluye cruceta y pararrayos)</t>
  </si>
  <si>
    <t>Suministro, montaje e instalación de seccionamiento con fusible para un fase (Incluye cruceta y Sin Pararrayos)</t>
  </si>
  <si>
    <t>Reubicacion de medidor bifasico en bajo voltaje 240V-120V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</si>
</sst>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 * #,##0.00_ ;_ * \-#,##0.00_ ;_ * &quot;-&quot;??_ ;_ @_ "/>
    <numFmt numFmtId="166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 wrapText="1"/>
      <protection/>
    </xf>
    <xf numFmtId="164" fontId="0" fillId="0" borderId="0" applyFont="0" applyFill="0" applyBorder="0" applyAlignment="0" applyProtection="0"/>
    <xf numFmtId="0" fontId="3" fillId="0" borderId="0">
      <alignment/>
      <protection/>
    </xf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6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Fill="1"/>
    <xf numFmtId="2" fontId="0" fillId="0" borderId="0" xfId="0" applyNumberFormat="1"/>
    <xf numFmtId="0" fontId="2" fillId="0" borderId="0" xfId="0" applyFont="1" applyAlignment="1">
      <alignment/>
    </xf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/>
    <xf numFmtId="165" fontId="2" fillId="0" borderId="1" xfId="20" applyFont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Millares 2" xfId="22"/>
    <cellStyle name="Normal 7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workbookViewId="0" topLeftCell="A1">
      <selection activeCell="E6" sqref="E6"/>
    </sheetView>
  </sheetViews>
  <sheetFormatPr defaultColWidth="11.421875" defaultRowHeight="15"/>
  <cols>
    <col min="4" max="4" width="15.28125" style="0" customWidth="1"/>
    <col min="5" max="5" width="19.140625" style="0" customWidth="1"/>
    <col min="6" max="6" width="32.8515625" style="0" bestFit="1" customWidth="1"/>
    <col min="7" max="7" width="32.7109375" style="0" customWidth="1"/>
    <col min="8" max="8" width="13.140625" style="0" hidden="1" customWidth="1"/>
    <col min="9" max="9" width="18.421875" style="0" hidden="1" customWidth="1"/>
    <col min="10" max="10" width="18.8515625" style="0" hidden="1" customWidth="1"/>
    <col min="11" max="11" width="11.421875" style="0" hidden="1" customWidth="1"/>
  </cols>
  <sheetData>
    <row r="1" spans="2:5" ht="15">
      <c r="B1" s="25" t="s">
        <v>73</v>
      </c>
      <c r="C1" s="25"/>
      <c r="D1" s="25"/>
      <c r="E1" s="25"/>
    </row>
    <row r="2" spans="2:10" ht="15">
      <c r="B2" s="1" t="s">
        <v>0</v>
      </c>
      <c r="C2" s="1" t="s">
        <v>1</v>
      </c>
      <c r="D2" s="1" t="s">
        <v>2</v>
      </c>
      <c r="E2" s="1" t="s">
        <v>23</v>
      </c>
      <c r="F2" s="1" t="s">
        <v>25</v>
      </c>
      <c r="H2" s="1" t="s">
        <v>26</v>
      </c>
      <c r="I2" s="1" t="s">
        <v>49</v>
      </c>
      <c r="J2" s="1" t="s">
        <v>50</v>
      </c>
    </row>
    <row r="3" spans="2:6" ht="15">
      <c r="B3" t="s">
        <v>11</v>
      </c>
      <c r="C3" t="s">
        <v>12</v>
      </c>
      <c r="D3">
        <v>40</v>
      </c>
      <c r="E3">
        <f>1*D3</f>
        <v>40</v>
      </c>
      <c r="F3">
        <f>1*D3</f>
        <v>40</v>
      </c>
    </row>
    <row r="4" spans="2:6" ht="15">
      <c r="B4" t="s">
        <v>12</v>
      </c>
      <c r="C4" t="s">
        <v>79</v>
      </c>
      <c r="D4">
        <v>29</v>
      </c>
      <c r="E4">
        <f>1*D4</f>
        <v>29</v>
      </c>
      <c r="F4">
        <f>1*D4</f>
        <v>29</v>
      </c>
    </row>
    <row r="5" spans="2:6" ht="15">
      <c r="B5" t="s">
        <v>79</v>
      </c>
      <c r="C5" t="s">
        <v>80</v>
      </c>
      <c r="D5">
        <v>27</v>
      </c>
      <c r="E5">
        <f>1*D5</f>
        <v>27</v>
      </c>
      <c r="F5">
        <f>1*D5</f>
        <v>27</v>
      </c>
    </row>
    <row r="6" spans="2:6" ht="15">
      <c r="B6" t="s">
        <v>80</v>
      </c>
      <c r="C6" t="s">
        <v>81</v>
      </c>
      <c r="D6">
        <v>28</v>
      </c>
      <c r="E6">
        <f>1*D6</f>
        <v>28</v>
      </c>
      <c r="F6">
        <f aca="true" t="shared" si="0" ref="F6:F13">1*D6</f>
        <v>28</v>
      </c>
    </row>
    <row r="7" spans="2:6" ht="15">
      <c r="B7" t="s">
        <v>81</v>
      </c>
      <c r="C7" t="s">
        <v>13</v>
      </c>
      <c r="D7">
        <v>45</v>
      </c>
      <c r="F7">
        <f t="shared" si="0"/>
        <v>45</v>
      </c>
    </row>
    <row r="8" spans="2:6" ht="15">
      <c r="B8" t="s">
        <v>14</v>
      </c>
      <c r="C8" t="s">
        <v>15</v>
      </c>
      <c r="D8">
        <v>39</v>
      </c>
      <c r="F8">
        <f t="shared" si="0"/>
        <v>39</v>
      </c>
    </row>
    <row r="9" spans="2:6" ht="15">
      <c r="B9" t="s">
        <v>15</v>
      </c>
      <c r="C9" t="s">
        <v>16</v>
      </c>
      <c r="D9">
        <v>29</v>
      </c>
      <c r="F9">
        <f t="shared" si="0"/>
        <v>29</v>
      </c>
    </row>
    <row r="10" spans="2:6" ht="15">
      <c r="B10" t="s">
        <v>16</v>
      </c>
      <c r="C10" t="s">
        <v>18</v>
      </c>
      <c r="D10">
        <v>27</v>
      </c>
      <c r="F10">
        <f t="shared" si="0"/>
        <v>27</v>
      </c>
    </row>
    <row r="11" spans="2:6" ht="15">
      <c r="B11" t="s">
        <v>17</v>
      </c>
      <c r="C11" t="s">
        <v>19</v>
      </c>
      <c r="D11">
        <v>46</v>
      </c>
      <c r="F11">
        <f t="shared" si="0"/>
        <v>46</v>
      </c>
    </row>
    <row r="12" spans="2:6" ht="15">
      <c r="B12" t="s">
        <v>19</v>
      </c>
      <c r="C12" t="s">
        <v>20</v>
      </c>
      <c r="D12">
        <v>37</v>
      </c>
      <c r="F12">
        <f t="shared" si="0"/>
        <v>37</v>
      </c>
    </row>
    <row r="13" spans="2:6" ht="15">
      <c r="B13" t="s">
        <v>20</v>
      </c>
      <c r="C13" t="s">
        <v>21</v>
      </c>
      <c r="D13">
        <v>28</v>
      </c>
      <c r="F13">
        <f t="shared" si="0"/>
        <v>28</v>
      </c>
    </row>
    <row r="14" spans="4:10" ht="15">
      <c r="D14" s="2" t="s">
        <v>24</v>
      </c>
      <c r="E14" s="3">
        <f>SUM(E3:E13)</f>
        <v>124</v>
      </c>
      <c r="F14" s="3">
        <f>SUM(F3:F13)</f>
        <v>375</v>
      </c>
      <c r="G14" s="3"/>
      <c r="H14" s="3">
        <f>SUM(H3:H13)</f>
        <v>0</v>
      </c>
      <c r="I14" s="3">
        <f>SUM(I3:I13)</f>
        <v>0</v>
      </c>
      <c r="J14" s="3">
        <f>SUM(J3:J13)</f>
        <v>0</v>
      </c>
    </row>
    <row r="15" spans="4:10" ht="15">
      <c r="D15" t="s">
        <v>40</v>
      </c>
      <c r="E15" s="3">
        <f>+E14*0.015</f>
        <v>1.8599999999999999</v>
      </c>
      <c r="F15" s="3">
        <f>+F14*0.015</f>
        <v>5.625</v>
      </c>
      <c r="G15" s="3"/>
      <c r="H15" s="3">
        <f aca="true" t="shared" si="1" ref="H15">+H14*0.015</f>
        <v>0</v>
      </c>
      <c r="I15" s="3"/>
      <c r="J15" s="3"/>
    </row>
    <row r="16" spans="4:10" ht="15">
      <c r="D16" t="s">
        <v>41</v>
      </c>
      <c r="E16" s="3">
        <f>+E14+E15</f>
        <v>125.86</v>
      </c>
      <c r="F16" s="3">
        <f>+F14+F15</f>
        <v>380.625</v>
      </c>
      <c r="G16" s="3"/>
      <c r="H16" s="3">
        <f aca="true" t="shared" si="2" ref="H16">+H14+H15</f>
        <v>0</v>
      </c>
      <c r="I16" s="3">
        <f aca="true" t="shared" si="3" ref="I16:J16">+I14+I15</f>
        <v>0</v>
      </c>
      <c r="J16" s="3">
        <f t="shared" si="3"/>
        <v>0</v>
      </c>
    </row>
    <row r="18" ht="15">
      <c r="G18" s="1" t="s">
        <v>29</v>
      </c>
    </row>
    <row r="19" spans="6:7" ht="15">
      <c r="F19" t="s">
        <v>27</v>
      </c>
      <c r="G19">
        <v>10</v>
      </c>
    </row>
    <row r="20" spans="6:7" ht="15">
      <c r="F20" t="s">
        <v>28</v>
      </c>
      <c r="G20">
        <v>30</v>
      </c>
    </row>
    <row r="21" ht="15">
      <c r="G21">
        <f>+G19*G20</f>
        <v>300</v>
      </c>
    </row>
    <row r="24" spans="6:7" ht="15">
      <c r="F24" s="3">
        <v>384.665</v>
      </c>
      <c r="G24" s="3">
        <f>+F24-F16</f>
        <v>4.0400000000000205</v>
      </c>
    </row>
    <row r="25" ht="15">
      <c r="G25">
        <v>0.2428404585808721</v>
      </c>
    </row>
    <row r="26" ht="15">
      <c r="F26">
        <f>1-F14/F24</f>
        <v>0.025125758777117757</v>
      </c>
    </row>
    <row r="27" ht="15">
      <c r="F27">
        <v>0.0251257587771178</v>
      </c>
    </row>
  </sheetData>
  <mergeCells count="1">
    <mergeCell ref="B1:E1"/>
  </mergeCells>
  <printOptions/>
  <pageMargins left="0.7" right="0.7" top="0.75" bottom="0.75" header="0.3" footer="0.3"/>
  <pageSetup horizontalDpi="300" verticalDpi="300" orientation="portrait" paperSize="20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1"/>
  <sheetViews>
    <sheetView workbookViewId="0" topLeftCell="B13">
      <selection activeCell="D39" sqref="D39:F39"/>
    </sheetView>
  </sheetViews>
  <sheetFormatPr defaultColWidth="11.421875" defaultRowHeight="15"/>
  <cols>
    <col min="3" max="3" width="12.28125" style="0" bestFit="1" customWidth="1"/>
    <col min="4" max="4" width="13.7109375" style="0" customWidth="1"/>
    <col min="5" max="5" width="9.7109375" style="0" bestFit="1" customWidth="1"/>
    <col min="6" max="6" width="6.57421875" style="0" customWidth="1"/>
    <col min="7" max="7" width="13.00390625" style="0" bestFit="1" customWidth="1"/>
    <col min="8" max="8" width="12.421875" style="0" bestFit="1" customWidth="1"/>
    <col min="9" max="9" width="16.421875" style="0" customWidth="1"/>
    <col min="10" max="10" width="11.7109375" style="0" bestFit="1" customWidth="1"/>
    <col min="11" max="11" width="8.00390625" style="0" bestFit="1" customWidth="1"/>
    <col min="12" max="12" width="9.7109375" style="0" bestFit="1" customWidth="1"/>
    <col min="13" max="13" width="10.57421875" style="0" bestFit="1" customWidth="1"/>
  </cols>
  <sheetData>
    <row r="2" spans="2:15" s="1" customFormat="1" ht="15">
      <c r="B2" s="1" t="s">
        <v>33</v>
      </c>
      <c r="C2" s="1" t="s">
        <v>32</v>
      </c>
      <c r="D2" s="1" t="s">
        <v>35</v>
      </c>
      <c r="E2" s="1" t="s">
        <v>3</v>
      </c>
      <c r="F2" s="1" t="s">
        <v>30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98</v>
      </c>
      <c r="O2" s="1" t="s">
        <v>101</v>
      </c>
    </row>
    <row r="3" spans="2:15" ht="15">
      <c r="B3">
        <v>1</v>
      </c>
      <c r="C3" t="s">
        <v>110</v>
      </c>
      <c r="D3">
        <v>400</v>
      </c>
      <c r="E3" t="s">
        <v>11</v>
      </c>
      <c r="F3" t="s">
        <v>31</v>
      </c>
      <c r="G3" t="s">
        <v>87</v>
      </c>
      <c r="H3" t="s">
        <v>113</v>
      </c>
      <c r="I3" t="s">
        <v>90</v>
      </c>
      <c r="J3" t="s">
        <v>76</v>
      </c>
      <c r="L3" t="s">
        <v>112</v>
      </c>
      <c r="M3">
        <v>2</v>
      </c>
      <c r="O3">
        <v>1</v>
      </c>
    </row>
    <row r="4" spans="2:15" ht="15">
      <c r="B4">
        <v>2</v>
      </c>
      <c r="C4" t="s">
        <v>34</v>
      </c>
      <c r="D4">
        <v>500</v>
      </c>
      <c r="E4" t="s">
        <v>12</v>
      </c>
      <c r="F4" t="s">
        <v>31</v>
      </c>
      <c r="G4" t="s">
        <v>88</v>
      </c>
      <c r="H4" t="s">
        <v>37</v>
      </c>
      <c r="M4">
        <v>1</v>
      </c>
      <c r="O4">
        <v>1</v>
      </c>
    </row>
    <row r="5" spans="2:15" ht="15">
      <c r="B5">
        <v>3</v>
      </c>
      <c r="C5" t="s">
        <v>34</v>
      </c>
      <c r="D5">
        <v>500</v>
      </c>
      <c r="E5" t="s">
        <v>79</v>
      </c>
      <c r="F5" t="s">
        <v>31</v>
      </c>
      <c r="G5" t="s">
        <v>88</v>
      </c>
      <c r="H5" t="s">
        <v>37</v>
      </c>
      <c r="L5" t="s">
        <v>112</v>
      </c>
      <c r="M5">
        <v>2</v>
      </c>
      <c r="O5">
        <v>1</v>
      </c>
    </row>
    <row r="6" spans="2:15" ht="15">
      <c r="B6">
        <v>4</v>
      </c>
      <c r="C6" t="s">
        <v>34</v>
      </c>
      <c r="D6">
        <v>500</v>
      </c>
      <c r="E6" t="s">
        <v>80</v>
      </c>
      <c r="F6" t="s">
        <v>31</v>
      </c>
      <c r="G6" t="s">
        <v>88</v>
      </c>
      <c r="H6" t="s">
        <v>37</v>
      </c>
      <c r="M6">
        <v>1</v>
      </c>
      <c r="O6">
        <v>1</v>
      </c>
    </row>
    <row r="7" spans="2:15" ht="20.25" customHeight="1">
      <c r="B7">
        <v>5</v>
      </c>
      <c r="C7" t="s">
        <v>34</v>
      </c>
      <c r="D7">
        <v>500</v>
      </c>
      <c r="E7" t="s">
        <v>81</v>
      </c>
      <c r="F7" t="s">
        <v>31</v>
      </c>
      <c r="G7" t="s">
        <v>74</v>
      </c>
      <c r="H7" t="s">
        <v>89</v>
      </c>
      <c r="I7" s="16" t="s">
        <v>91</v>
      </c>
      <c r="J7" t="s">
        <v>76</v>
      </c>
      <c r="K7" t="s">
        <v>94</v>
      </c>
      <c r="L7" t="s">
        <v>112</v>
      </c>
      <c r="M7">
        <v>1</v>
      </c>
      <c r="O7">
        <v>1</v>
      </c>
    </row>
    <row r="8" spans="2:9" ht="15">
      <c r="B8">
        <v>6</v>
      </c>
      <c r="C8" t="s">
        <v>111</v>
      </c>
      <c r="D8">
        <v>350</v>
      </c>
      <c r="E8" t="s">
        <v>13</v>
      </c>
      <c r="F8" t="s">
        <v>31</v>
      </c>
      <c r="H8" t="s">
        <v>39</v>
      </c>
      <c r="I8" t="s">
        <v>92</v>
      </c>
    </row>
    <row r="9" spans="2:9" ht="15">
      <c r="B9">
        <v>7</v>
      </c>
      <c r="C9" t="s">
        <v>42</v>
      </c>
      <c r="D9">
        <v>400</v>
      </c>
      <c r="E9" t="s">
        <v>14</v>
      </c>
      <c r="F9" t="s">
        <v>31</v>
      </c>
      <c r="H9" t="s">
        <v>39</v>
      </c>
      <c r="I9" t="s">
        <v>77</v>
      </c>
    </row>
    <row r="10" spans="2:15" ht="15">
      <c r="B10">
        <v>8</v>
      </c>
      <c r="C10" t="s">
        <v>42</v>
      </c>
      <c r="D10">
        <v>400</v>
      </c>
      <c r="E10" t="s">
        <v>15</v>
      </c>
      <c r="F10" t="s">
        <v>31</v>
      </c>
      <c r="H10" t="s">
        <v>37</v>
      </c>
      <c r="L10" t="s">
        <v>112</v>
      </c>
      <c r="M10">
        <v>1</v>
      </c>
      <c r="O10">
        <v>1</v>
      </c>
    </row>
    <row r="11" spans="2:12" ht="15">
      <c r="B11">
        <v>9</v>
      </c>
      <c r="C11" t="s">
        <v>42</v>
      </c>
      <c r="D11">
        <v>400</v>
      </c>
      <c r="E11" t="s">
        <v>16</v>
      </c>
      <c r="F11" t="s">
        <v>31</v>
      </c>
      <c r="H11" t="s">
        <v>37</v>
      </c>
      <c r="L11" t="s">
        <v>112</v>
      </c>
    </row>
    <row r="12" spans="2:9" ht="15">
      <c r="B12">
        <v>10</v>
      </c>
      <c r="C12" t="s">
        <v>111</v>
      </c>
      <c r="D12">
        <v>350</v>
      </c>
      <c r="E12" t="s">
        <v>17</v>
      </c>
      <c r="F12" t="s">
        <v>31</v>
      </c>
      <c r="H12" t="s">
        <v>39</v>
      </c>
      <c r="I12" t="s">
        <v>92</v>
      </c>
    </row>
    <row r="13" spans="2:12" ht="15">
      <c r="B13">
        <v>11</v>
      </c>
      <c r="C13" t="s">
        <v>42</v>
      </c>
      <c r="D13">
        <v>400</v>
      </c>
      <c r="E13" t="s">
        <v>18</v>
      </c>
      <c r="F13" t="s">
        <v>31</v>
      </c>
      <c r="H13" t="s">
        <v>39</v>
      </c>
      <c r="I13" t="s">
        <v>77</v>
      </c>
      <c r="L13" t="s">
        <v>112</v>
      </c>
    </row>
    <row r="14" spans="2:12" ht="15">
      <c r="B14">
        <v>12</v>
      </c>
      <c r="C14" t="s">
        <v>42</v>
      </c>
      <c r="D14">
        <v>400</v>
      </c>
      <c r="E14" t="s">
        <v>19</v>
      </c>
      <c r="F14" t="s">
        <v>31</v>
      </c>
      <c r="H14" t="s">
        <v>37</v>
      </c>
      <c r="L14" t="s">
        <v>112</v>
      </c>
    </row>
    <row r="15" spans="2:8" ht="15">
      <c r="B15">
        <v>13</v>
      </c>
      <c r="C15" t="s">
        <v>42</v>
      </c>
      <c r="D15">
        <v>400</v>
      </c>
      <c r="E15" t="s">
        <v>20</v>
      </c>
      <c r="F15" t="s">
        <v>31</v>
      </c>
      <c r="H15" t="s">
        <v>37</v>
      </c>
    </row>
    <row r="16" spans="2:15" ht="15">
      <c r="B16">
        <v>14</v>
      </c>
      <c r="C16" t="s">
        <v>42</v>
      </c>
      <c r="D16">
        <v>400</v>
      </c>
      <c r="E16" t="s">
        <v>21</v>
      </c>
      <c r="F16" t="s">
        <v>31</v>
      </c>
      <c r="H16" t="s">
        <v>39</v>
      </c>
      <c r="I16" t="s">
        <v>77</v>
      </c>
      <c r="L16" t="s">
        <v>112</v>
      </c>
      <c r="M16">
        <v>2</v>
      </c>
      <c r="O16">
        <v>1</v>
      </c>
    </row>
    <row r="17" spans="2:6" s="17" customFormat="1" ht="15">
      <c r="B17" s="17">
        <v>15</v>
      </c>
      <c r="C17" s="17" t="s">
        <v>42</v>
      </c>
      <c r="D17" s="17">
        <v>400</v>
      </c>
      <c r="E17" s="17" t="s">
        <v>22</v>
      </c>
      <c r="F17" s="17" t="s">
        <v>31</v>
      </c>
    </row>
    <row r="18" spans="2:9" ht="15">
      <c r="B18">
        <v>16</v>
      </c>
      <c r="C18" t="s">
        <v>111</v>
      </c>
      <c r="D18">
        <v>350</v>
      </c>
      <c r="E18" t="s">
        <v>22</v>
      </c>
      <c r="F18" t="s">
        <v>31</v>
      </c>
      <c r="I18" s="17" t="s">
        <v>77</v>
      </c>
    </row>
    <row r="19" spans="4:13" ht="15">
      <c r="D19" s="26" t="s">
        <v>43</v>
      </c>
      <c r="E19" s="26"/>
      <c r="F19" s="26"/>
      <c r="G19" s="26"/>
      <c r="H19" s="26"/>
      <c r="I19" s="26"/>
      <c r="J19" s="26"/>
      <c r="K19" s="26"/>
      <c r="L19" s="26"/>
      <c r="M19" s="26"/>
    </row>
    <row r="20" spans="4:13" s="1" customFormat="1" ht="15">
      <c r="D20" s="25" t="s">
        <v>44</v>
      </c>
      <c r="E20" s="25"/>
      <c r="F20" s="25"/>
      <c r="G20" s="4" t="s">
        <v>47</v>
      </c>
      <c r="H20" s="4" t="s">
        <v>48</v>
      </c>
      <c r="I20" s="5" t="s">
        <v>24</v>
      </c>
      <c r="J20" s="4"/>
      <c r="K20" s="4"/>
      <c r="L20" s="4"/>
      <c r="M20" s="4"/>
    </row>
    <row r="21" spans="4:11" ht="15">
      <c r="D21" s="26" t="s">
        <v>45</v>
      </c>
      <c r="E21" s="26"/>
      <c r="F21" s="26"/>
      <c r="G21">
        <f>+COUNTIF(C3:C18,"12m")</f>
        <v>4</v>
      </c>
      <c r="I21" s="5">
        <f>SUM(G21:H21)</f>
        <v>4</v>
      </c>
      <c r="K21">
        <f>+I21+I22+I30+I31+I32+I33+I34</f>
        <v>21</v>
      </c>
    </row>
    <row r="22" spans="4:9" ht="15">
      <c r="D22" s="26" t="s">
        <v>46</v>
      </c>
      <c r="E22" s="26"/>
      <c r="F22" s="26"/>
      <c r="G22">
        <f>+COUNTIF(C3:C18,"10m")</f>
        <v>8</v>
      </c>
      <c r="I22" s="5">
        <f aca="true" t="shared" si="0" ref="I22:I37">SUM(G22:H22)</f>
        <v>8</v>
      </c>
    </row>
    <row r="23" spans="4:9" ht="15">
      <c r="D23" s="26" t="s">
        <v>74</v>
      </c>
      <c r="E23" s="26"/>
      <c r="F23" s="26"/>
      <c r="G23">
        <f>+COUNTIF($G$3:$G$18,"1CRT")</f>
        <v>1</v>
      </c>
      <c r="H23">
        <v>1</v>
      </c>
      <c r="I23" s="5">
        <f t="shared" si="0"/>
        <v>2</v>
      </c>
    </row>
    <row r="24" spans="4:9" ht="15">
      <c r="D24" s="26" t="s">
        <v>88</v>
      </c>
      <c r="E24" s="26"/>
      <c r="F24" s="26"/>
      <c r="G24">
        <f>+COUNTIF($G$3:$G$18,"1CPT")</f>
        <v>3</v>
      </c>
      <c r="H24">
        <v>1</v>
      </c>
      <c r="I24" s="5">
        <f t="shared" si="0"/>
        <v>4</v>
      </c>
    </row>
    <row r="25" spans="4:9" ht="15">
      <c r="D25" s="26" t="s">
        <v>37</v>
      </c>
      <c r="E25" s="26"/>
      <c r="F25" s="26"/>
      <c r="G25">
        <f>+COUNTIF($H$3:$H$18,"1EP")</f>
        <v>7</v>
      </c>
      <c r="H25">
        <v>3</v>
      </c>
      <c r="I25" s="5">
        <f t="shared" si="0"/>
        <v>10</v>
      </c>
    </row>
    <row r="26" spans="4:9" ht="15">
      <c r="D26" s="26" t="s">
        <v>39</v>
      </c>
      <c r="E26" s="26"/>
      <c r="F26" s="26"/>
      <c r="G26">
        <f>+COUNTIF($H$3:$H$16,"1Er")</f>
        <v>5</v>
      </c>
      <c r="H26">
        <f>1*G27+G28*1</f>
        <v>0</v>
      </c>
      <c r="I26" s="5">
        <f t="shared" si="0"/>
        <v>5</v>
      </c>
    </row>
    <row r="27" spans="4:9" ht="15" hidden="1">
      <c r="D27" s="26" t="s">
        <v>36</v>
      </c>
      <c r="E27" s="26"/>
      <c r="F27" s="26"/>
      <c r="G27">
        <f>+COUNTIF($H$3:$H$14,"1EP+1er")</f>
        <v>0</v>
      </c>
      <c r="I27" s="5">
        <f t="shared" si="0"/>
        <v>0</v>
      </c>
    </row>
    <row r="28" spans="4:9" ht="15" hidden="1">
      <c r="D28" s="26" t="s">
        <v>78</v>
      </c>
      <c r="E28" s="26"/>
      <c r="F28" s="26"/>
      <c r="G28">
        <f>+COUNTIF($H$3:$H$14,"1PR3e+1ER")</f>
        <v>0</v>
      </c>
      <c r="I28" s="5">
        <f t="shared" si="0"/>
        <v>0</v>
      </c>
    </row>
    <row r="29" spans="4:9" ht="15">
      <c r="D29" s="26" t="s">
        <v>89</v>
      </c>
      <c r="E29" s="26"/>
      <c r="F29" s="26"/>
      <c r="G29">
        <f>+COUNTIF($H$3:$H$16,"1ED")</f>
        <v>1</v>
      </c>
      <c r="I29" s="5">
        <f t="shared" si="0"/>
        <v>1</v>
      </c>
    </row>
    <row r="30" spans="4:9" ht="15">
      <c r="D30" s="26" t="s">
        <v>75</v>
      </c>
      <c r="E30" s="26"/>
      <c r="F30" s="26"/>
      <c r="G30">
        <f>+COUNTIF($I$3:$I$16,"TAT-0TS")</f>
        <v>0</v>
      </c>
      <c r="I30" s="5">
        <f t="shared" si="0"/>
        <v>0</v>
      </c>
    </row>
    <row r="31" spans="4:9" ht="15">
      <c r="D31" s="26" t="s">
        <v>77</v>
      </c>
      <c r="E31" s="26"/>
      <c r="F31" s="26"/>
      <c r="G31">
        <f>+COUNTIF($I$3:$I$18,"TAD-0TS")</f>
        <v>4</v>
      </c>
      <c r="H31">
        <v>1</v>
      </c>
      <c r="I31" s="5">
        <f t="shared" si="0"/>
        <v>5</v>
      </c>
    </row>
    <row r="32" spans="4:9" ht="15">
      <c r="D32" s="26" t="s">
        <v>90</v>
      </c>
      <c r="E32" s="26"/>
      <c r="F32" s="26"/>
      <c r="G32">
        <f>+COUNTIF($I$3:$I$18,"TAT-0PD")</f>
        <v>1</v>
      </c>
      <c r="I32" s="5">
        <f t="shared" si="0"/>
        <v>1</v>
      </c>
    </row>
    <row r="33" spans="4:9" ht="15">
      <c r="D33" s="26" t="s">
        <v>92</v>
      </c>
      <c r="E33" s="26"/>
      <c r="F33" s="26"/>
      <c r="G33">
        <f>+COUNTIF($I$3:$I$18,"TAD-0FS")</f>
        <v>2</v>
      </c>
      <c r="I33" s="5">
        <f t="shared" si="0"/>
        <v>2</v>
      </c>
    </row>
    <row r="34" spans="4:9" ht="15">
      <c r="D34" s="26" t="s">
        <v>93</v>
      </c>
      <c r="E34" s="26"/>
      <c r="F34" s="26"/>
      <c r="G34">
        <f>+COUNTIF($I$3:$I$18,"TAT-0TD")</f>
        <v>0</v>
      </c>
      <c r="H34">
        <v>1</v>
      </c>
      <c r="I34" s="5">
        <f t="shared" si="0"/>
        <v>1</v>
      </c>
    </row>
    <row r="35" spans="4:9" ht="15">
      <c r="D35" s="26" t="s">
        <v>66</v>
      </c>
      <c r="E35" s="26"/>
      <c r="F35" s="26"/>
      <c r="G35">
        <f>+COUNTIF($J$3:$J$16,"1 secc")</f>
        <v>2</v>
      </c>
      <c r="I35" s="5">
        <f t="shared" si="0"/>
        <v>2</v>
      </c>
    </row>
    <row r="36" spans="4:9" ht="15">
      <c r="D36" s="26" t="s">
        <v>82</v>
      </c>
      <c r="E36" s="26"/>
      <c r="F36" s="26"/>
      <c r="G36">
        <f>+COUNTIF($K$3:$K$16,"25 kVA")</f>
        <v>1</v>
      </c>
      <c r="I36" s="5">
        <f t="shared" si="0"/>
        <v>1</v>
      </c>
    </row>
    <row r="37" spans="4:9" ht="15">
      <c r="D37" s="26" t="s">
        <v>112</v>
      </c>
      <c r="E37" s="26"/>
      <c r="F37" s="26"/>
      <c r="G37">
        <f>+COUNTIF($L$3:$L$18,"110W")</f>
        <v>8</v>
      </c>
      <c r="H37">
        <v>2</v>
      </c>
      <c r="I37" s="5">
        <f t="shared" si="0"/>
        <v>10</v>
      </c>
    </row>
    <row r="38" spans="4:7" ht="15" hidden="1">
      <c r="D38" s="26" t="s">
        <v>38</v>
      </c>
      <c r="E38" s="26"/>
      <c r="F38" s="26"/>
      <c r="G38">
        <f>+COUNTIF($L$3:$L$14,"2(110W)")</f>
        <v>0</v>
      </c>
    </row>
    <row r="39" spans="4:9" ht="15">
      <c r="D39" s="26" t="s">
        <v>99</v>
      </c>
      <c r="E39" s="26"/>
      <c r="F39" s="26"/>
      <c r="G39">
        <f>+SUM(N3:N18)</f>
        <v>0</v>
      </c>
      <c r="I39" s="5">
        <f>+G39+H39</f>
        <v>0</v>
      </c>
    </row>
    <row r="40" spans="4:9" ht="15">
      <c r="D40" s="26" t="s">
        <v>100</v>
      </c>
      <c r="E40" s="26"/>
      <c r="F40" s="26"/>
      <c r="G40">
        <f>+SUM(M3:M18)</f>
        <v>10</v>
      </c>
      <c r="I40" s="5">
        <f aca="true" t="shared" si="1" ref="I40:I41">SUM(G40:H40)</f>
        <v>10</v>
      </c>
    </row>
    <row r="41" spans="4:9" ht="15">
      <c r="D41" s="26" t="s">
        <v>102</v>
      </c>
      <c r="E41" s="26"/>
      <c r="F41" s="26"/>
      <c r="G41">
        <f>+SUM(O3:O18)</f>
        <v>7</v>
      </c>
      <c r="I41" s="5">
        <f t="shared" si="1"/>
        <v>7</v>
      </c>
    </row>
  </sheetData>
  <mergeCells count="23">
    <mergeCell ref="D39:F39"/>
    <mergeCell ref="D40:F40"/>
    <mergeCell ref="D41:F41"/>
    <mergeCell ref="D36:F36"/>
    <mergeCell ref="D37:F37"/>
    <mergeCell ref="D38:F38"/>
    <mergeCell ref="D30:F30"/>
    <mergeCell ref="D31:F31"/>
    <mergeCell ref="D35:F35"/>
    <mergeCell ref="D25:F25"/>
    <mergeCell ref="D26:F26"/>
    <mergeCell ref="D27:F27"/>
    <mergeCell ref="D28:F28"/>
    <mergeCell ref="D32:F32"/>
    <mergeCell ref="D33:F33"/>
    <mergeCell ref="D34:F34"/>
    <mergeCell ref="D24:F24"/>
    <mergeCell ref="D29:F29"/>
    <mergeCell ref="D23:F23"/>
    <mergeCell ref="D19:M19"/>
    <mergeCell ref="D21:F21"/>
    <mergeCell ref="D20:F20"/>
    <mergeCell ref="D22:F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41"/>
  <sheetViews>
    <sheetView tabSelected="1" view="pageBreakPreview" zoomScaleSheetLayoutView="100" workbookViewId="0" topLeftCell="A16">
      <selection activeCell="K28" sqref="K28"/>
    </sheetView>
  </sheetViews>
  <sheetFormatPr defaultColWidth="11.421875" defaultRowHeight="15"/>
  <cols>
    <col min="2" max="2" width="15.7109375" style="0" customWidth="1"/>
    <col min="3" max="3" width="99.28125" style="0" customWidth="1"/>
    <col min="4" max="4" width="9.421875" style="0" customWidth="1"/>
    <col min="5" max="5" width="9.57421875" style="0" customWidth="1"/>
    <col min="6" max="6" width="13.140625" style="0" customWidth="1"/>
    <col min="7" max="7" width="16.00390625" style="0" bestFit="1" customWidth="1"/>
    <col min="8" max="8" width="19.57421875" style="0" bestFit="1" customWidth="1"/>
    <col min="9" max="9" width="15.7109375" style="0" bestFit="1" customWidth="1"/>
  </cols>
  <sheetData>
    <row r="3" spans="2:13" ht="15">
      <c r="B3" s="25" t="s">
        <v>86</v>
      </c>
      <c r="C3" s="25"/>
      <c r="D3" s="25"/>
      <c r="E3" s="25"/>
      <c r="F3" s="25"/>
      <c r="G3" s="25"/>
      <c r="H3" s="25"/>
      <c r="I3" s="25"/>
      <c r="J3" s="7"/>
      <c r="K3" s="7"/>
      <c r="L3" s="7"/>
      <c r="M3" s="7"/>
    </row>
    <row r="4" ht="15">
      <c r="B4" s="1" t="s">
        <v>118</v>
      </c>
    </row>
    <row r="5" spans="2:9" ht="15">
      <c r="B5" s="8" t="s">
        <v>51</v>
      </c>
      <c r="C5" s="8" t="s">
        <v>44</v>
      </c>
      <c r="D5" s="8" t="s">
        <v>56</v>
      </c>
      <c r="E5" s="8" t="s">
        <v>54</v>
      </c>
      <c r="F5" s="8" t="s">
        <v>57</v>
      </c>
      <c r="G5" s="8" t="s">
        <v>58</v>
      </c>
      <c r="H5" s="8" t="s">
        <v>52</v>
      </c>
      <c r="I5" s="8" t="s">
        <v>59</v>
      </c>
    </row>
    <row r="6" spans="2:9" ht="15">
      <c r="B6" s="9">
        <v>1</v>
      </c>
      <c r="C6" s="9" t="s">
        <v>53</v>
      </c>
      <c r="D6" s="9" t="s">
        <v>55</v>
      </c>
      <c r="E6" s="10">
        <f>+CONDUCTOR!E16</f>
        <v>125.86</v>
      </c>
      <c r="F6" s="19">
        <v>0.85</v>
      </c>
      <c r="G6" s="20">
        <f>+E6*F6</f>
        <v>106.981</v>
      </c>
      <c r="H6" s="9">
        <v>0.97</v>
      </c>
      <c r="I6" s="10">
        <f>+H6*E6</f>
        <v>122.0842</v>
      </c>
    </row>
    <row r="7" spans="2:9" ht="15">
      <c r="B7" s="9">
        <v>2</v>
      </c>
      <c r="C7" s="9" t="s">
        <v>60</v>
      </c>
      <c r="D7" s="9" t="s">
        <v>55</v>
      </c>
      <c r="E7" s="10">
        <f>+CONDUCTOR!F16</f>
        <v>380.625</v>
      </c>
      <c r="F7" s="19">
        <v>4.49</v>
      </c>
      <c r="G7" s="20">
        <f aca="true" t="shared" si="0" ref="G7:G29">+E7*F7</f>
        <v>1709.0062500000001</v>
      </c>
      <c r="H7" s="9">
        <v>1.73</v>
      </c>
      <c r="I7" s="10">
        <f aca="true" t="shared" si="1" ref="I7:I29">+H7*E7</f>
        <v>658.48125</v>
      </c>
    </row>
    <row r="8" spans="2:9" ht="15">
      <c r="B8" s="9">
        <v>3</v>
      </c>
      <c r="C8" s="9" t="s">
        <v>61</v>
      </c>
      <c r="D8" s="9" t="s">
        <v>63</v>
      </c>
      <c r="E8" s="9">
        <f>+ESTRUCTURAS!I21</f>
        <v>4</v>
      </c>
      <c r="F8" s="19">
        <v>875.75</v>
      </c>
      <c r="G8" s="20">
        <f t="shared" si="0"/>
        <v>3503</v>
      </c>
      <c r="H8" s="9">
        <v>122.9</v>
      </c>
      <c r="I8" s="10">
        <f t="shared" si="1"/>
        <v>491.6</v>
      </c>
    </row>
    <row r="9" spans="2:9" ht="15">
      <c r="B9" s="9">
        <v>4</v>
      </c>
      <c r="C9" s="9" t="s">
        <v>62</v>
      </c>
      <c r="D9" s="9" t="s">
        <v>63</v>
      </c>
      <c r="E9" s="9">
        <f>+ESTRUCTURAS!I22</f>
        <v>8</v>
      </c>
      <c r="F9" s="19">
        <v>740.15</v>
      </c>
      <c r="G9" s="20">
        <f t="shared" si="0"/>
        <v>5921.2</v>
      </c>
      <c r="H9" s="9">
        <v>122.9</v>
      </c>
      <c r="I9" s="10">
        <f t="shared" si="1"/>
        <v>983.2</v>
      </c>
    </row>
    <row r="10" spans="2:9" s="17" customFormat="1" ht="15">
      <c r="B10" s="18">
        <v>5</v>
      </c>
      <c r="C10" s="18" t="s">
        <v>116</v>
      </c>
      <c r="D10" s="18" t="s">
        <v>63</v>
      </c>
      <c r="E10" s="18">
        <v>3</v>
      </c>
      <c r="F10" s="19" t="s">
        <v>109</v>
      </c>
      <c r="G10" s="20" t="s">
        <v>109</v>
      </c>
      <c r="H10" s="18">
        <f>122.9+62.9</f>
        <v>185.8</v>
      </c>
      <c r="I10" s="10">
        <f t="shared" si="1"/>
        <v>557.4000000000001</v>
      </c>
    </row>
    <row r="11" spans="2:9" s="17" customFormat="1" ht="15">
      <c r="B11" s="18">
        <v>6</v>
      </c>
      <c r="C11" s="18" t="s">
        <v>117</v>
      </c>
      <c r="D11" s="18" t="s">
        <v>63</v>
      </c>
      <c r="E11" s="18">
        <v>1</v>
      </c>
      <c r="F11" s="19" t="s">
        <v>109</v>
      </c>
      <c r="G11" s="20" t="s">
        <v>109</v>
      </c>
      <c r="H11" s="18">
        <f>122.9+62.9</f>
        <v>185.8</v>
      </c>
      <c r="I11" s="10">
        <f t="shared" si="1"/>
        <v>185.8</v>
      </c>
    </row>
    <row r="12" spans="2:9" s="14" customFormat="1" ht="15">
      <c r="B12" s="18">
        <v>7</v>
      </c>
      <c r="C12" s="12" t="s">
        <v>83</v>
      </c>
      <c r="D12" s="12" t="s">
        <v>63</v>
      </c>
      <c r="E12" s="12">
        <f>+ESTRUCTURAS!I23</f>
        <v>2</v>
      </c>
      <c r="F12" s="21">
        <v>47.16</v>
      </c>
      <c r="G12" s="22">
        <f t="shared" si="0"/>
        <v>94.32</v>
      </c>
      <c r="H12" s="12">
        <v>27.08</v>
      </c>
      <c r="I12" s="13">
        <f t="shared" si="1"/>
        <v>54.16</v>
      </c>
    </row>
    <row r="13" spans="2:9" s="14" customFormat="1" ht="15">
      <c r="B13" s="18">
        <v>10</v>
      </c>
      <c r="C13" s="12" t="s">
        <v>115</v>
      </c>
      <c r="D13" s="12" t="s">
        <v>63</v>
      </c>
      <c r="E13" s="12">
        <f>+ESTRUCTURAS!I24</f>
        <v>4</v>
      </c>
      <c r="F13" s="21">
        <v>31.58</v>
      </c>
      <c r="G13" s="22">
        <f t="shared" si="0"/>
        <v>126.32</v>
      </c>
      <c r="H13" s="12">
        <v>21.66</v>
      </c>
      <c r="I13" s="13">
        <f t="shared" si="1"/>
        <v>86.64</v>
      </c>
    </row>
    <row r="14" spans="2:9" ht="15">
      <c r="B14" s="18">
        <v>11</v>
      </c>
      <c r="C14" s="9" t="s">
        <v>64</v>
      </c>
      <c r="D14" s="9" t="s">
        <v>63</v>
      </c>
      <c r="E14" s="9">
        <f>+ESTRUCTURAS!I25</f>
        <v>10</v>
      </c>
      <c r="F14" s="19">
        <v>20.06</v>
      </c>
      <c r="G14" s="20">
        <f t="shared" si="0"/>
        <v>200.6</v>
      </c>
      <c r="H14" s="9">
        <v>16.83</v>
      </c>
      <c r="I14" s="10">
        <f t="shared" si="1"/>
        <v>168.29999999999998</v>
      </c>
    </row>
    <row r="15" spans="2:9" ht="15">
      <c r="B15" s="18">
        <v>12</v>
      </c>
      <c r="C15" s="9" t="s">
        <v>65</v>
      </c>
      <c r="D15" s="9" t="s">
        <v>63</v>
      </c>
      <c r="E15" s="9">
        <f>+ESTRUCTURAS!I26</f>
        <v>5</v>
      </c>
      <c r="F15" s="19">
        <v>14.93</v>
      </c>
      <c r="G15" s="20">
        <f t="shared" si="0"/>
        <v>74.65</v>
      </c>
      <c r="H15" s="9">
        <v>21.04</v>
      </c>
      <c r="I15" s="10">
        <f t="shared" si="1"/>
        <v>105.19999999999999</v>
      </c>
    </row>
    <row r="16" spans="2:9" ht="15">
      <c r="B16" s="18">
        <v>13</v>
      </c>
      <c r="C16" s="12" t="s">
        <v>95</v>
      </c>
      <c r="D16" s="9" t="s">
        <v>63</v>
      </c>
      <c r="E16" s="9">
        <f>+ESTRUCTURAS!I29</f>
        <v>1</v>
      </c>
      <c r="F16" s="19">
        <v>27.55</v>
      </c>
      <c r="G16" s="20">
        <f t="shared" si="0"/>
        <v>27.55</v>
      </c>
      <c r="H16" s="9">
        <v>42.08</v>
      </c>
      <c r="I16" s="10">
        <f t="shared" si="1"/>
        <v>42.08</v>
      </c>
    </row>
    <row r="17" spans="2:9" s="14" customFormat="1" ht="15">
      <c r="B17" s="18">
        <v>14</v>
      </c>
      <c r="C17" s="12" t="s">
        <v>119</v>
      </c>
      <c r="D17" s="12" t="s">
        <v>63</v>
      </c>
      <c r="E17" s="12">
        <f>+ESTRUCTURAS!I31</f>
        <v>5</v>
      </c>
      <c r="F17" s="21">
        <v>60.61</v>
      </c>
      <c r="G17" s="22">
        <f t="shared" si="0"/>
        <v>303.05</v>
      </c>
      <c r="H17" s="12">
        <v>25.66</v>
      </c>
      <c r="I17" s="13">
        <f t="shared" si="1"/>
        <v>128.3</v>
      </c>
    </row>
    <row r="18" spans="2:9" s="14" customFormat="1" ht="15">
      <c r="B18" s="18">
        <v>15</v>
      </c>
      <c r="C18" s="12" t="s">
        <v>96</v>
      </c>
      <c r="D18" s="12" t="s">
        <v>63</v>
      </c>
      <c r="E18" s="12">
        <f>+ESTRUCTURAS!I34</f>
        <v>1</v>
      </c>
      <c r="F18" s="21">
        <v>93.09</v>
      </c>
      <c r="G18" s="22">
        <f t="shared" si="0"/>
        <v>93.09</v>
      </c>
      <c r="H18" s="12">
        <v>44.91</v>
      </c>
      <c r="I18" s="13">
        <f t="shared" si="1"/>
        <v>44.91</v>
      </c>
    </row>
    <row r="19" spans="2:9" s="14" customFormat="1" ht="15">
      <c r="B19" s="18">
        <v>16</v>
      </c>
      <c r="C19" s="12" t="s">
        <v>97</v>
      </c>
      <c r="D19" s="12" t="s">
        <v>63</v>
      </c>
      <c r="E19" s="12">
        <f>+ESTRUCTURAS!I32</f>
        <v>1</v>
      </c>
      <c r="F19" s="21">
        <v>81.96</v>
      </c>
      <c r="G19" s="22">
        <f t="shared" si="0"/>
        <v>81.96</v>
      </c>
      <c r="H19" s="12">
        <v>28.87</v>
      </c>
      <c r="I19" s="13">
        <f t="shared" si="1"/>
        <v>28.87</v>
      </c>
    </row>
    <row r="20" spans="2:9" s="14" customFormat="1" ht="15">
      <c r="B20" s="18">
        <v>18</v>
      </c>
      <c r="C20" s="12" t="s">
        <v>120</v>
      </c>
      <c r="D20" s="12" t="s">
        <v>63</v>
      </c>
      <c r="E20" s="12">
        <f>+ESTRUCTURAS!I33</f>
        <v>2</v>
      </c>
      <c r="F20" s="21">
        <v>68.84</v>
      </c>
      <c r="G20" s="22">
        <f t="shared" si="0"/>
        <v>137.68</v>
      </c>
      <c r="H20" s="12">
        <v>25.66</v>
      </c>
      <c r="I20" s="13">
        <f t="shared" si="1"/>
        <v>51.32</v>
      </c>
    </row>
    <row r="21" spans="2:9" s="14" customFormat="1" ht="15">
      <c r="B21" s="18">
        <v>20</v>
      </c>
      <c r="C21" s="12" t="s">
        <v>121</v>
      </c>
      <c r="D21" s="12" t="s">
        <v>63</v>
      </c>
      <c r="E21" s="12">
        <f>+ESTRUCTURAS!I35-E22</f>
        <v>1</v>
      </c>
      <c r="F21" s="21">
        <v>264.35</v>
      </c>
      <c r="G21" s="22">
        <f t="shared" si="0"/>
        <v>264.35</v>
      </c>
      <c r="H21" s="12">
        <v>66.23</v>
      </c>
      <c r="I21" s="13">
        <f t="shared" si="1"/>
        <v>66.23</v>
      </c>
    </row>
    <row r="22" spans="2:9" s="14" customFormat="1" ht="15">
      <c r="B22" s="18">
        <v>21</v>
      </c>
      <c r="C22" s="12" t="s">
        <v>122</v>
      </c>
      <c r="D22" s="12" t="s">
        <v>63</v>
      </c>
      <c r="E22" s="12">
        <v>1</v>
      </c>
      <c r="F22" s="21">
        <f>264.35-63.28</f>
        <v>201.07000000000002</v>
      </c>
      <c r="G22" s="22">
        <f t="shared" si="0"/>
        <v>201.07000000000002</v>
      </c>
      <c r="H22" s="12">
        <f>66.23-15.66</f>
        <v>50.57000000000001</v>
      </c>
      <c r="I22" s="13">
        <f t="shared" si="1"/>
        <v>50.57000000000001</v>
      </c>
    </row>
    <row r="23" spans="2:9" s="14" customFormat="1" ht="15">
      <c r="B23" s="18">
        <v>22</v>
      </c>
      <c r="C23" s="12" t="s">
        <v>84</v>
      </c>
      <c r="D23" s="12" t="s">
        <v>63</v>
      </c>
      <c r="E23" s="12">
        <f>++ESTRUCTURAS!I36</f>
        <v>1</v>
      </c>
      <c r="F23" s="21">
        <v>1596.47</v>
      </c>
      <c r="G23" s="22">
        <f t="shared" si="0"/>
        <v>1596.47</v>
      </c>
      <c r="H23" s="12">
        <v>192.9</v>
      </c>
      <c r="I23" s="13">
        <f t="shared" si="1"/>
        <v>192.9</v>
      </c>
    </row>
    <row r="24" spans="2:9" s="14" customFormat="1" ht="15">
      <c r="B24" s="18">
        <v>24</v>
      </c>
      <c r="C24" s="12" t="s">
        <v>114</v>
      </c>
      <c r="D24" s="12" t="s">
        <v>63</v>
      </c>
      <c r="E24" s="12">
        <f>+ESTRUCTURAS!I37-E32</f>
        <v>7</v>
      </c>
      <c r="F24" s="21">
        <v>453.5</v>
      </c>
      <c r="G24" s="22">
        <f t="shared" si="0"/>
        <v>3174.5</v>
      </c>
      <c r="H24" s="12">
        <v>39.15</v>
      </c>
      <c r="I24" s="13">
        <f t="shared" si="1"/>
        <v>274.05</v>
      </c>
    </row>
    <row r="25" spans="2:9" ht="15">
      <c r="B25" s="18">
        <v>25</v>
      </c>
      <c r="C25" s="9" t="s">
        <v>67</v>
      </c>
      <c r="D25" s="9" t="s">
        <v>63</v>
      </c>
      <c r="E25" s="9">
        <f>+E21+E22</f>
        <v>2</v>
      </c>
      <c r="F25" s="19">
        <v>591.11</v>
      </c>
      <c r="G25" s="20">
        <f t="shared" si="0"/>
        <v>1182.22</v>
      </c>
      <c r="H25" s="9">
        <v>84.15</v>
      </c>
      <c r="I25" s="10">
        <f t="shared" si="1"/>
        <v>168.3</v>
      </c>
    </row>
    <row r="26" spans="2:9" s="14" customFormat="1" ht="15">
      <c r="B26" s="18">
        <v>26</v>
      </c>
      <c r="C26" s="15" t="s">
        <v>85</v>
      </c>
      <c r="D26" s="12" t="s">
        <v>63</v>
      </c>
      <c r="E26" s="12">
        <f>+ESTRUCTURAS!I40</f>
        <v>10</v>
      </c>
      <c r="F26" s="21">
        <v>126.52</v>
      </c>
      <c r="G26" s="22">
        <f t="shared" si="0"/>
        <v>1265.2</v>
      </c>
      <c r="H26" s="12">
        <v>44.15</v>
      </c>
      <c r="I26" s="13">
        <f t="shared" si="1"/>
        <v>441.5</v>
      </c>
    </row>
    <row r="27" spans="2:9" ht="15">
      <c r="B27" s="18">
        <v>27</v>
      </c>
      <c r="C27" s="9" t="s">
        <v>68</v>
      </c>
      <c r="D27" s="9" t="s">
        <v>63</v>
      </c>
      <c r="E27" s="9">
        <f>+ESTRUCTURAS!K21</f>
        <v>21</v>
      </c>
      <c r="F27" s="19" t="s">
        <v>109</v>
      </c>
      <c r="G27" s="22" t="s">
        <v>109</v>
      </c>
      <c r="H27" s="9">
        <v>184.15</v>
      </c>
      <c r="I27" s="10">
        <f t="shared" si="1"/>
        <v>3867.15</v>
      </c>
    </row>
    <row r="28" spans="2:9" ht="15">
      <c r="B28" s="18">
        <v>28</v>
      </c>
      <c r="C28" s="9" t="s">
        <v>69</v>
      </c>
      <c r="D28" s="9" t="s">
        <v>63</v>
      </c>
      <c r="E28" s="9">
        <f>+E25</f>
        <v>2</v>
      </c>
      <c r="F28" s="19" t="s">
        <v>109</v>
      </c>
      <c r="G28" s="22" t="s">
        <v>109</v>
      </c>
      <c r="H28" s="9">
        <v>192.9</v>
      </c>
      <c r="I28" s="10">
        <f t="shared" si="1"/>
        <v>385.8</v>
      </c>
    </row>
    <row r="29" spans="2:9" ht="15">
      <c r="B29" s="18">
        <v>29</v>
      </c>
      <c r="C29" s="12" t="s">
        <v>107</v>
      </c>
      <c r="D29" s="9" t="s">
        <v>63</v>
      </c>
      <c r="E29" s="9">
        <f>+ESTRUCTURAS!I41</f>
        <v>7</v>
      </c>
      <c r="F29" s="19">
        <v>7.88</v>
      </c>
      <c r="G29" s="22">
        <f t="shared" si="0"/>
        <v>55.16</v>
      </c>
      <c r="H29" s="9">
        <v>7.45</v>
      </c>
      <c r="I29" s="10">
        <f t="shared" si="1"/>
        <v>52.15</v>
      </c>
    </row>
    <row r="30" spans="2:9" ht="15">
      <c r="B30" s="18">
        <v>30</v>
      </c>
      <c r="C30" s="9" t="s">
        <v>103</v>
      </c>
      <c r="D30" s="9" t="s">
        <v>55</v>
      </c>
      <c r="E30" s="9">
        <v>100</v>
      </c>
      <c r="F30" s="19" t="s">
        <v>109</v>
      </c>
      <c r="G30" s="20" t="s">
        <v>109</v>
      </c>
      <c r="H30" s="9">
        <v>0.64</v>
      </c>
      <c r="I30" s="10">
        <f>+E30*H30</f>
        <v>64</v>
      </c>
    </row>
    <row r="31" spans="2:12" s="17" customFormat="1" ht="15">
      <c r="B31" s="18">
        <v>33</v>
      </c>
      <c r="C31" s="18" t="s">
        <v>123</v>
      </c>
      <c r="D31" s="18" t="s">
        <v>63</v>
      </c>
      <c r="E31" s="18">
        <v>3</v>
      </c>
      <c r="F31" s="19" t="s">
        <v>109</v>
      </c>
      <c r="G31" s="20" t="s">
        <v>109</v>
      </c>
      <c r="H31" s="18">
        <v>60.47</v>
      </c>
      <c r="I31" s="10">
        <f aca="true" t="shared" si="2" ref="I31:I32">+E31*H31</f>
        <v>181.41</v>
      </c>
      <c r="J31" s="24" t="s">
        <v>106</v>
      </c>
      <c r="L31" s="6"/>
    </row>
    <row r="32" spans="2:10" s="17" customFormat="1" ht="15">
      <c r="B32" s="18">
        <v>38</v>
      </c>
      <c r="C32" s="18" t="s">
        <v>108</v>
      </c>
      <c r="D32" s="18" t="s">
        <v>63</v>
      </c>
      <c r="E32" s="18">
        <v>3</v>
      </c>
      <c r="F32" s="19" t="s">
        <v>109</v>
      </c>
      <c r="G32" s="20" t="s">
        <v>109</v>
      </c>
      <c r="H32" s="10">
        <f>39.15*1.5</f>
        <v>58.724999999999994</v>
      </c>
      <c r="I32" s="10">
        <f t="shared" si="2"/>
        <v>176.17499999999998</v>
      </c>
      <c r="J32" s="24" t="s">
        <v>106</v>
      </c>
    </row>
    <row r="33" spans="6:9" ht="15">
      <c r="F33" s="23"/>
      <c r="G33" s="23"/>
      <c r="H33" s="8" t="s">
        <v>58</v>
      </c>
      <c r="I33" s="11">
        <f>SUM(G6:G32)</f>
        <v>20118.377249999998</v>
      </c>
    </row>
    <row r="34" spans="8:9" ht="15">
      <c r="H34" s="8" t="s">
        <v>70</v>
      </c>
      <c r="I34" s="11">
        <f>SUM(I6:I32)</f>
        <v>9628.58045</v>
      </c>
    </row>
    <row r="35" spans="8:11" ht="15">
      <c r="H35" s="8" t="s">
        <v>71</v>
      </c>
      <c r="I35" s="11">
        <f>+I33+I34</f>
        <v>29746.9577</v>
      </c>
      <c r="K35" s="6"/>
    </row>
    <row r="36" spans="8:9" ht="15">
      <c r="H36" s="8" t="s">
        <v>72</v>
      </c>
      <c r="I36" s="11">
        <f>+I35*0.12</f>
        <v>3569.634924</v>
      </c>
    </row>
    <row r="37" spans="8:9" ht="15">
      <c r="H37" s="8" t="s">
        <v>41</v>
      </c>
      <c r="I37" s="11">
        <f>+I35+I36</f>
        <v>33316.592624</v>
      </c>
    </row>
    <row r="38" spans="8:10" ht="15">
      <c r="H38" s="17"/>
      <c r="I38" s="17"/>
      <c r="J38" s="17"/>
    </row>
    <row r="39" spans="8:12" ht="15">
      <c r="H39" s="24" t="s">
        <v>105</v>
      </c>
      <c r="I39" s="24">
        <v>27269.5</v>
      </c>
      <c r="J39" s="24">
        <f>+I35-I39</f>
        <v>2477.457699999999</v>
      </c>
      <c r="K39" s="24"/>
      <c r="L39" s="24">
        <f>+J39/39.15</f>
        <v>63.281167305236245</v>
      </c>
    </row>
    <row r="40" spans="8:12" ht="15">
      <c r="H40" s="24" t="s">
        <v>104</v>
      </c>
      <c r="I40" s="24">
        <v>30249.5</v>
      </c>
      <c r="J40" s="24"/>
      <c r="K40" s="24"/>
      <c r="L40" s="24"/>
    </row>
    <row r="41" spans="8:12" ht="15">
      <c r="H41" s="24"/>
      <c r="I41" s="24"/>
      <c r="J41" s="24"/>
      <c r="K41" s="24"/>
      <c r="L41" s="24">
        <f>+J39/6.22</f>
        <v>398.3050964630224</v>
      </c>
    </row>
  </sheetData>
  <mergeCells count="1">
    <mergeCell ref="B3:I3"/>
  </mergeCells>
  <printOptions/>
  <pageMargins left="0.7" right="0.7" top="0.75" bottom="0.75" header="0.3" footer="0.3"/>
  <pageSetup fitToHeight="1" fitToWidth="1" horizontalDpi="600" verticalDpi="600" orientation="landscape" scale="61" r:id="rId1"/>
  <colBreaks count="1" manualBreakCount="1">
    <brk id="9" max="16383" man="1"/>
  </colBreaks>
  <ignoredErrors>
    <ignoredError sqref="I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GL. Lozano</dc:creator>
  <cp:keywords/>
  <dc:description/>
  <cp:lastModifiedBy>TOBIAS VERDUGO ISRAEL</cp:lastModifiedBy>
  <cp:lastPrinted>2019-05-21T15:24:29Z</cp:lastPrinted>
  <dcterms:created xsi:type="dcterms:W3CDTF">2019-02-08T18:18:07Z</dcterms:created>
  <dcterms:modified xsi:type="dcterms:W3CDTF">2019-05-23T17:06:55Z</dcterms:modified>
  <cp:category/>
  <cp:version/>
  <cp:contentType/>
  <cp:contentStatus/>
</cp:coreProperties>
</file>